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vedrenne\Documents\Etudes\P2310-OPERVENT\ppb\ppb-2024-10-30 formule V2.3\"/>
    </mc:Choice>
  </mc:AlternateContent>
  <xr:revisionPtr revIDLastSave="0" documentId="8_{F3A439A1-724E-49FA-840E-1F0D6FE40940}" xr6:coauthVersionLast="36" xr6:coauthVersionMax="36" xr10:uidLastSave="{00000000-0000-0000-0000-000000000000}"/>
  <workbookProtection workbookPassword="9365" lockStructure="1"/>
  <bookViews>
    <workbookView xWindow="0" yWindow="0" windowWidth="21795" windowHeight="9450" xr2:uid="{00000000-000D-0000-FFFF-FFFF00000000}"/>
  </bookViews>
  <sheets>
    <sheet name=" On deck Systems" sheetId="1" r:id="rId1"/>
    <sheet name="Dynamic Kite" sheetId="2" r:id="rId2"/>
    <sheet name="License" sheetId="3" r:id="rId3"/>
  </sheets>
  <externalReferences>
    <externalReference r:id="rId4"/>
  </externalReferences>
  <definedNames>
    <definedName name="Afi" localSheetId="2">'[1] On deck Systems'!$E$42</definedName>
    <definedName name="Afi">' On deck Systems'!$E$45</definedName>
    <definedName name="AVA" localSheetId="2">'[1] On deck Systems'!$E$40</definedName>
    <definedName name="AVA">' On deck Systems'!$E$43</definedName>
    <definedName name="AVA_SF" localSheetId="2">'[1] On deck Systems'!$E$50</definedName>
    <definedName name="AVA_SF">' On deck Systems'!$E$53</definedName>
    <definedName name="B">' On deck Systems'!$D$27</definedName>
    <definedName name="Ca_Clmax" localSheetId="2">'[1] On deck Systems'!$D$9</definedName>
    <definedName name="Ca_Clmax">' On deck Systems'!$D$12</definedName>
    <definedName name="Cd_Clmax" localSheetId="2">'[1] On deck Systems'!$D$8</definedName>
    <definedName name="Cd_Clmax">' On deck Systems'!$D$11</definedName>
    <definedName name="Cd_k" localSheetId="2">'[1]Dynamic Kite'!$D$8</definedName>
    <definedName name="Cd_k">'Dynamic Kite'!$D$10</definedName>
    <definedName name="Cd_OFF" localSheetId="2">'[1] On deck Systems'!$D$11</definedName>
    <definedName name="Cd_OFF">' On deck Systems'!$D$14</definedName>
    <definedName name="Cl_k" localSheetId="2">'[1]Dynamic Kite'!$D$7</definedName>
    <definedName name="Cl_k">'Dynamic Kite'!$D$9</definedName>
    <definedName name="Clmax" localSheetId="2">'[1] On deck Systems'!$D$7</definedName>
    <definedName name="Clmax">' On deck Systems'!$D$10</definedName>
    <definedName name="eta_Ca" localSheetId="2">'[1] On deck Systems'!$D$10</definedName>
    <definedName name="eta_Ca">' On deck Systems'!$D$13</definedName>
    <definedName name="eta_prop" localSheetId="2">'[1] On deck Systems'!$D$19</definedName>
    <definedName name="eta_prop">' On deck Systems'!$D$22</definedName>
    <definedName name="eta_prop_k" localSheetId="2">'[1]Dynamic Kite'!$D$15</definedName>
    <definedName name="eta_prop_k">'Dynamic Kite'!$D$17</definedName>
    <definedName name="FB" localSheetId="2">'[1] On deck Systems'!$D$21</definedName>
    <definedName name="FB">' On deck Systems'!$D$24</definedName>
    <definedName name="FB_k">'Dynamic Kite'!$D$18</definedName>
    <definedName name="Fuel_Energie_k" localSheetId="2">'[1]Dynamic Kite'!$N$11</definedName>
    <definedName name="Fuel_Energie_k">'Dynamic Kite'!$N$13</definedName>
    <definedName name="Fuel_Energy" localSheetId="2">'[1] On deck Systems'!$N$13</definedName>
    <definedName name="Fuel_Energy">' On deck Systems'!$N$16</definedName>
    <definedName name="GHG" localSheetId="2">'[1] On deck Systems'!$N$14</definedName>
    <definedName name="GHG">' On deck Systems'!$N$17</definedName>
    <definedName name="GHG_k" localSheetId="2">'[1]Dynamic Kite'!$N$12</definedName>
    <definedName name="GHG_k">'Dynamic Kite'!$N$14</definedName>
    <definedName name="k_P_CO" localSheetId="2">'[1] On deck Systems'!$E$48</definedName>
    <definedName name="k_P_CO">' On deck Systems'!$E$51</definedName>
    <definedName name="k_P_OFF" localSheetId="2">'[1] On deck Systems'!$E$47</definedName>
    <definedName name="k_P_OFF">' On deck Systems'!$E$50</definedName>
    <definedName name="k_P_ON" localSheetId="2">'[1] On deck Systems'!$E$41</definedName>
    <definedName name="k_P_ON">' On deck Systems'!$E$44</definedName>
    <definedName name="k_VB" localSheetId="2">'[1] On deck Systems'!$E$46</definedName>
    <definedName name="k_VB">' On deck Systems'!$E$49</definedName>
    <definedName name="k_VB_SF" localSheetId="2">'[1] On deck Systems'!$E$51</definedName>
    <definedName name="k_VB_SF">' On deck Systems'!$E$54</definedName>
    <definedName name="k_Z" localSheetId="2">'[1] On deck Systems'!$E$45</definedName>
    <definedName name="k_Z">' On deck Systems'!$E$48</definedName>
    <definedName name="kAfi" localSheetId="2">'[1] On deck Systems'!$E$43</definedName>
    <definedName name="kAfi">' On deck Systems'!$E$46</definedName>
    <definedName name="kL_D_k" localSheetId="2">'[1]Dynamic Kite'!$E$31</definedName>
    <definedName name="kL_D_k">'Dynamic Kite'!$E$33</definedName>
    <definedName name="kPsi_k" localSheetId="2">'[1]Dynamic Kite'!$E$32</definedName>
    <definedName name="kPsi_k">'Dynamic Kite'!$E$34</definedName>
    <definedName name="kVB_k" localSheetId="2">'[1]Dynamic Kite'!$E$34</definedName>
    <definedName name="kVB_k">'Dynamic Kite'!$E$36</definedName>
    <definedName name="kZ_k" localSheetId="2">'[1]Dynamic Kite'!$E$33</definedName>
    <definedName name="kZ_k">'Dynamic Kite'!$E$35</definedName>
    <definedName name="L_D_k" localSheetId="2">'[1]Dynamic Kite'!$E$30</definedName>
    <definedName name="L_D_k">'Dynamic Kite'!$E$32</definedName>
    <definedName name="Lline_k" localSheetId="2">'[1]Dynamic Kite'!$D$10</definedName>
    <definedName name="Lline_k">'Dynamic Kite'!$D$12</definedName>
    <definedName name="Nwaps" localSheetId="2">'[1] On deck Systems'!$D$16</definedName>
    <definedName name="Nwaps">' On deck Systems'!$D$19</definedName>
    <definedName name="P" localSheetId="2">'[1] On deck Systems'!$D$14</definedName>
    <definedName name="P">' On deck Systems'!$D$17</definedName>
    <definedName name="Psi_k" localSheetId="2">'[1]Dynamic Kite'!$D$11</definedName>
    <definedName name="Psi_k">'Dynamic Kite'!$D$13</definedName>
    <definedName name="Sa" localSheetId="2">'[1] On deck Systems'!$D$13</definedName>
    <definedName name="Sa">' On deck Systems'!$D$16</definedName>
    <definedName name="Sa_k" localSheetId="2">'[1]Dynamic Kite'!$D$9</definedName>
    <definedName name="Sa_k">'Dynamic Kite'!$D$11</definedName>
    <definedName name="T" localSheetId="2">'[1] On deck Systems'!$D$23</definedName>
    <definedName name="T">' On deck Systems'!$D$26</definedName>
    <definedName name="T_k">'Dynamic Kite'!$D$20</definedName>
    <definedName name="VA" localSheetId="2">'[1] On deck Systems'!$E$39</definedName>
    <definedName name="VA">' On deck Systems'!$E$42</definedName>
    <definedName name="VA_SF" localSheetId="2">'[1] On deck Systems'!$E$49</definedName>
    <definedName name="VA_SF">' On deck Systems'!$E$52</definedName>
    <definedName name="VB" localSheetId="2">'[1] On deck Systems'!$D$18</definedName>
    <definedName name="VB">' On deck Systems'!$D$21</definedName>
    <definedName name="Vb_k" localSheetId="2">'[1]Dynamic Kite'!$D$13</definedName>
    <definedName name="Vb_k">'Dynamic Kite'!$D$15</definedName>
    <definedName name="WL">' On deck Systems'!$D$25</definedName>
    <definedName name="WL_k">'Dynamic Kite'!$D$19</definedName>
    <definedName name="z_Cp_aero" localSheetId="2">'[1] On deck Systems'!$E$44</definedName>
    <definedName name="z_Cp_aero">' On deck Systems'!$E$47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C6" i="1"/>
  <c r="E36" i="2" l="1"/>
  <c r="E35" i="2"/>
  <c r="E32" i="2"/>
  <c r="I9" i="2" l="1"/>
  <c r="I12" i="2" s="1"/>
  <c r="K9" i="2" l="1"/>
  <c r="I13" i="2"/>
  <c r="I14" i="2" s="1"/>
  <c r="K12" i="2"/>
  <c r="E41" i="1" l="1"/>
  <c r="E54" i="1" l="1"/>
  <c r="E52" i="1"/>
  <c r="E51" i="1" l="1"/>
  <c r="E50" i="1"/>
  <c r="I11" i="1" s="1"/>
  <c r="K11" i="1" s="1"/>
  <c r="E44" i="1"/>
  <c r="E49" i="1"/>
  <c r="E47" i="1"/>
  <c r="E48" i="1" s="1"/>
  <c r="E45" i="1"/>
  <c r="E46" i="1" l="1"/>
  <c r="I13" i="1"/>
  <c r="K13" i="1" s="1"/>
  <c r="I12" i="1"/>
  <c r="K12" i="1" s="1"/>
  <c r="I10" i="1"/>
  <c r="K10" i="1" s="1"/>
  <c r="I15" i="1" l="1"/>
  <c r="K15" i="1" l="1"/>
  <c r="I16" i="1"/>
  <c r="I17" i="1" s="1"/>
</calcChain>
</file>

<file path=xl/sharedStrings.xml><?xml version="1.0" encoding="utf-8"?>
<sst xmlns="http://schemas.openxmlformats.org/spreadsheetml/2006/main" count="202" uniqueCount="118">
  <si>
    <t>min</t>
  </si>
  <si>
    <t>max</t>
  </si>
  <si>
    <t>nds</t>
  </si>
  <si>
    <t>m</t>
  </si>
  <si>
    <t>Clmax</t>
  </si>
  <si>
    <t>Drag System OFF /Sa</t>
  </si>
  <si>
    <t>Cd OFF</t>
  </si>
  <si>
    <t>Ca(Clmax)</t>
  </si>
  <si>
    <t>Maximum Lift Coefficient</t>
  </si>
  <si>
    <t>Drag for Clmax</t>
  </si>
  <si>
    <t>Efficiency of Ca</t>
  </si>
  <si>
    <t>Drag system OFF</t>
  </si>
  <si>
    <t>Sail area</t>
  </si>
  <si>
    <t>Sa</t>
  </si>
  <si>
    <t>Span</t>
  </si>
  <si>
    <t>Number of WAPS units</t>
  </si>
  <si>
    <t>VB</t>
  </si>
  <si>
    <t>kn</t>
  </si>
  <si>
    <t>Free Board of Ship</t>
  </si>
  <si>
    <t>FB</t>
  </si>
  <si>
    <t>Water length</t>
  </si>
  <si>
    <t>WL</t>
  </si>
  <si>
    <t>Effective Draft</t>
  </si>
  <si>
    <t>T</t>
  </si>
  <si>
    <t>Deck Beam</t>
  </si>
  <si>
    <t>B</t>
  </si>
  <si>
    <t>m²</t>
  </si>
  <si>
    <t>P ON</t>
  </si>
  <si>
    <t>P OFF</t>
  </si>
  <si>
    <t>P CO</t>
  </si>
  <si>
    <t>k_PON</t>
  </si>
  <si>
    <t>VA</t>
  </si>
  <si>
    <t>AVA</t>
  </si>
  <si>
    <t>kt</t>
  </si>
  <si>
    <t>deg</t>
  </si>
  <si>
    <t>Afi</t>
  </si>
  <si>
    <t>kAfi</t>
  </si>
  <si>
    <t>kZ</t>
  </si>
  <si>
    <t>z_Cp_aero</t>
  </si>
  <si>
    <t>kVB</t>
  </si>
  <si>
    <t>eta prop</t>
  </si>
  <si>
    <t>CdClmax</t>
  </si>
  <si>
    <t>CaClmax</t>
  </si>
  <si>
    <t>etaCa</t>
  </si>
  <si>
    <t>CdOFF</t>
  </si>
  <si>
    <t>Nwaps</t>
  </si>
  <si>
    <t>kW</t>
  </si>
  <si>
    <t>kW/m²</t>
  </si>
  <si>
    <t>DATA</t>
  </si>
  <si>
    <t>Power wind thrust  WAPS ON</t>
  </si>
  <si>
    <t>Power Wind thrust  WAPS OFF</t>
  </si>
  <si>
    <t>Power WAPS consumption</t>
  </si>
  <si>
    <t>Power hydro from Side Force</t>
  </si>
  <si>
    <t>Net Power production of WAPS</t>
  </si>
  <si>
    <t>P NET</t>
  </si>
  <si>
    <t>kPCO</t>
  </si>
  <si>
    <t>kPOFF</t>
  </si>
  <si>
    <t>Efficiency of propulsion</t>
  </si>
  <si>
    <t>Net Fuel Saving of WAPS</t>
  </si>
  <si>
    <t>t/day</t>
  </si>
  <si>
    <t>LIMITATIONS</t>
  </si>
  <si>
    <t>RESULTS</t>
  </si>
  <si>
    <t xml:space="preserve"> data &amp; intermediate results</t>
  </si>
  <si>
    <t>Limite</t>
  </si>
  <si>
    <t>z Cp aero</t>
  </si>
  <si>
    <t>Cl max</t>
  </si>
  <si>
    <t>Clmax/Cd(clmax)</t>
  </si>
  <si>
    <t>Ship service speed</t>
  </si>
  <si>
    <t>Altitude du centre de poussée aéro</t>
  </si>
  <si>
    <t>Energy consumption coefficient at Clmax</t>
  </si>
  <si>
    <t>SoftSail</t>
  </si>
  <si>
    <t>Symetric Thick Wing</t>
  </si>
  <si>
    <t>Two cambered thick parts</t>
  </si>
  <si>
    <t>Suction Sail</t>
  </si>
  <si>
    <t>Flettner Rotor</t>
  </si>
  <si>
    <t>Typical value for various sail technologies</t>
  </si>
  <si>
    <t>P SF</t>
  </si>
  <si>
    <t>Two Symetric thick  articulated wing</t>
  </si>
  <si>
    <t>k_VB_SF</t>
  </si>
  <si>
    <t>VA SF</t>
  </si>
  <si>
    <t>AVA SF</t>
  </si>
  <si>
    <t>Indicative values varying with aspect ratio, shape, gaps, monitoring etc…</t>
  </si>
  <si>
    <t>FORMULA TENTATIVE FOR AN  ESTIMATOR OF WAPS AVERAGED PRODUCTION FOR IMO WIND PROBABILITY MATRIX</t>
  </si>
  <si>
    <t>Lift/Drag ratio</t>
  </si>
  <si>
    <t>Lift-Drag ratio at Clmax</t>
  </si>
  <si>
    <t>Cd(Clmax)</t>
  </si>
  <si>
    <t>at Clmax</t>
  </si>
  <si>
    <t>g/kWh</t>
  </si>
  <si>
    <t>GHG</t>
  </si>
  <si>
    <t xml:space="preserve">TeqCO2 /Tfuel </t>
  </si>
  <si>
    <t>Fuel Energy</t>
  </si>
  <si>
    <t>Net GHG reduction of WAPS</t>
  </si>
  <si>
    <r>
      <t>FORMULA TENTATIVE FOR AN  ESTIMATOR OF</t>
    </r>
    <r>
      <rPr>
        <b/>
        <sz val="24"/>
        <color rgb="FFFF0000"/>
        <rFont val="Calibri"/>
        <family val="2"/>
        <scheme val="minor"/>
      </rPr>
      <t xml:space="preserve"> KITE</t>
    </r>
    <r>
      <rPr>
        <b/>
        <sz val="24"/>
        <color theme="1"/>
        <rFont val="Calibri"/>
        <family val="2"/>
        <scheme val="minor"/>
      </rPr>
      <t xml:space="preserve"> AVERAGED PRODUCTION FOR IMO WIND PROBABILITY MATRIX</t>
    </r>
  </si>
  <si>
    <t>Used Lift Coefficient</t>
  </si>
  <si>
    <t>Cl</t>
  </si>
  <si>
    <t>Drag for Cl</t>
  </si>
  <si>
    <t>Line length</t>
  </si>
  <si>
    <t>Lline</t>
  </si>
  <si>
    <t>Elevation angle</t>
  </si>
  <si>
    <t>Used Lift coefficient</t>
  </si>
  <si>
    <t xml:space="preserve">Cl </t>
  </si>
  <si>
    <t>L_D</t>
  </si>
  <si>
    <t>Psi</t>
  </si>
  <si>
    <t>kL_D</t>
  </si>
  <si>
    <t>at Cl</t>
  </si>
  <si>
    <t>kPsi</t>
  </si>
  <si>
    <t>Cd</t>
  </si>
  <si>
    <t>°</t>
  </si>
  <si>
    <t>Power wind thrust  KITE</t>
  </si>
  <si>
    <t>Typical input values</t>
  </si>
  <si>
    <t>Lift-Drag ratio at Cl used</t>
  </si>
  <si>
    <t>OPERVENT - Wind Propulsion Power Formula © 2024 by CRAIN / Philippe PALLU DE LA BARRIERE is licensed under CC BY-ND 4.0. To view a copy of this license, visit https://creativecommons.org/licenses/by-nd/4.0/</t>
  </si>
  <si>
    <t>Author: P. Pallu de La Barrière
Release: V2
Date: 04/2024
OPERVENT - Wind Propulsion Formula © 2024 by CRAIN / Philippe PALLU DE LA BARRIERE is licensed under CC BY-ND 4.0.</t>
  </si>
  <si>
    <r>
      <t xml:space="preserve">Author: P. Pallu de La Barrière
Release: V1
Date: 07/2024
</t>
    </r>
    <r>
      <rPr>
        <sz val="14"/>
        <color theme="1"/>
        <rFont val="Calibri"/>
        <family val="2"/>
      </rPr>
      <t>OPERVENT - Wind Propulsion Formula © 2024 by CRAIN / Philippe PALLU DE LA BARRIERE is licensed under CC BY-ND 4.0.</t>
    </r>
  </si>
  <si>
    <t>Height of WAPS unit bottom</t>
  </si>
  <si>
    <t>HB</t>
  </si>
  <si>
    <t>Projet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</si>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</sst>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E+00"/>
    <numFmt numFmtId="165" formatCode="0.0"/>
    <numFmt numFmtId="166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b/>
      <sz val="2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0" xfId="0" applyBorder="1"/>
    <xf numFmtId="0" fontId="0" fillId="0" borderId="1" xfId="0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0" fillId="0" borderId="0" xfId="0" applyBorder="1" applyAlignment="1"/>
    <xf numFmtId="0" fontId="2" fillId="0" borderId="0" xfId="0" applyFont="1" applyBorder="1"/>
    <xf numFmtId="2" fontId="3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vertical="center"/>
    </xf>
    <xf numFmtId="0" fontId="3" fillId="0" borderId="11" xfId="0" applyFont="1" applyBorder="1"/>
    <xf numFmtId="2" fontId="3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vertical="center"/>
    </xf>
    <xf numFmtId="0" fontId="3" fillId="0" borderId="10" xfId="0" applyFont="1" applyBorder="1"/>
    <xf numFmtId="0" fontId="5" fillId="0" borderId="1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3" fillId="0" borderId="6" xfId="0" applyFont="1" applyBorder="1"/>
    <xf numFmtId="0" fontId="3" fillId="0" borderId="13" xfId="0" applyFont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0" fontId="3" fillId="0" borderId="12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Fill="1" applyBorder="1"/>
    <xf numFmtId="0" fontId="4" fillId="0" borderId="10" xfId="0" applyFont="1" applyBorder="1"/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1" xfId="0" applyFont="1" applyBorder="1"/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2" fontId="4" fillId="2" borderId="1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2" fontId="4" fillId="0" borderId="6" xfId="0" applyNumberFormat="1" applyFont="1" applyBorder="1" applyAlignment="1">
      <alignment horizontal="right" vertical="center"/>
    </xf>
    <xf numFmtId="2" fontId="3" fillId="0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2" fontId="3" fillId="0" borderId="14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9" fillId="0" borderId="15" xfId="0" applyFont="1" applyBorder="1"/>
    <xf numFmtId="0" fontId="0" fillId="0" borderId="11" xfId="0" applyBorder="1"/>
    <xf numFmtId="0" fontId="8" fillId="0" borderId="12" xfId="0" applyFont="1" applyFill="1" applyBorder="1" applyAlignment="1">
      <alignment vertical="center"/>
    </xf>
    <xf numFmtId="0" fontId="6" fillId="0" borderId="0" xfId="0" applyFont="1" applyAlignment="1"/>
    <xf numFmtId="1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1" fontId="9" fillId="0" borderId="1" xfId="0" applyNumberFormat="1" applyFont="1" applyBorder="1" applyAlignment="1">
      <alignment horizontal="center"/>
    </xf>
    <xf numFmtId="11" fontId="9" fillId="0" borderId="16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2" fontId="12" fillId="0" borderId="10" xfId="0" applyNumberFormat="1" applyFont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8" xfId="0" applyFont="1" applyFill="1" applyBorder="1"/>
    <xf numFmtId="0" fontId="3" fillId="0" borderId="19" xfId="0" applyFont="1" applyFill="1" applyBorder="1"/>
    <xf numFmtId="0" fontId="0" fillId="2" borderId="1" xfId="0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wrapText="1"/>
    </xf>
    <xf numFmtId="0" fontId="13" fillId="0" borderId="0" xfId="0" applyFont="1"/>
    <xf numFmtId="0" fontId="5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2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1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0" fontId="3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5" fillId="0" borderId="0" xfId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1" fontId="4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0" borderId="12" xfId="0" applyBorder="1"/>
    <xf numFmtId="22" fontId="0" fillId="0" borderId="6" xfId="0" applyNumberFormat="1" applyBorder="1" applyAlignment="1">
      <alignment horizontal="center"/>
    </xf>
    <xf numFmtId="22" fontId="0" fillId="0" borderId="13" xfId="0" applyNumberFormat="1" applyBorder="1" applyAlignment="1">
      <alignment horizontal="center"/>
    </xf>
    <xf numFmtId="0" fontId="0" fillId="4" borderId="21" xfId="0" applyFill="1" applyBorder="1" applyAlignment="1" applyProtection="1">
      <alignment horizontal="center"/>
      <protection locked="0"/>
    </xf>
    <xf numFmtId="0" fontId="0" fillId="4" borderId="22" xfId="0" applyFill="1" applyBorder="1" applyAlignment="1" applyProtection="1">
      <alignment horizont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7" Type="http://schemas.openxmlformats.org/officeDocument/2006/relationships/image" Target="../media/image8.png"/><Relationship Id="rId2" Type="http://schemas.openxmlformats.org/officeDocument/2006/relationships/image" Target="../media/image9.png"/><Relationship Id="rId1" Type="http://schemas.openxmlformats.org/officeDocument/2006/relationships/image" Target="../media/image2.png"/><Relationship Id="rId6" Type="http://schemas.openxmlformats.org/officeDocument/2006/relationships/image" Target="../media/image1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408782</xdr:colOff>
      <xdr:row>0</xdr:row>
      <xdr:rowOff>222251</xdr:rowOff>
    </xdr:from>
    <xdr:to>
      <xdr:col>26</xdr:col>
      <xdr:colOff>345160</xdr:colOff>
      <xdr:row>8</xdr:row>
      <xdr:rowOff>37123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03813" y="222251"/>
          <a:ext cx="8318378" cy="3222213"/>
        </a:xfrm>
        <a:prstGeom prst="rect">
          <a:avLst/>
        </a:prstGeom>
      </xdr:spPr>
    </xdr:pic>
    <xdr:clientData/>
  </xdr:twoCellAnchor>
  <xdr:twoCellAnchor editAs="oneCell">
    <xdr:from>
      <xdr:col>11</xdr:col>
      <xdr:colOff>517071</xdr:colOff>
      <xdr:row>0</xdr:row>
      <xdr:rowOff>272143</xdr:rowOff>
    </xdr:from>
    <xdr:to>
      <xdr:col>15</xdr:col>
      <xdr:colOff>3421</xdr:colOff>
      <xdr:row>0</xdr:row>
      <xdr:rowOff>1650093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59642" y="272143"/>
          <a:ext cx="3119458" cy="1377950"/>
        </a:xfrm>
        <a:prstGeom prst="rect">
          <a:avLst/>
        </a:prstGeom>
      </xdr:spPr>
    </xdr:pic>
    <xdr:clientData/>
  </xdr:twoCellAnchor>
  <xdr:twoCellAnchor editAs="oneCell">
    <xdr:from>
      <xdr:col>1</xdr:col>
      <xdr:colOff>24038</xdr:colOff>
      <xdr:row>0</xdr:row>
      <xdr:rowOff>37670</xdr:rowOff>
    </xdr:from>
    <xdr:to>
      <xdr:col>2</xdr:col>
      <xdr:colOff>1007113</xdr:colOff>
      <xdr:row>0</xdr:row>
      <xdr:rowOff>1550269</xdr:rowOff>
    </xdr:to>
    <xdr:pic>
      <xdr:nvPicPr>
        <xdr:cNvPr id="8" name="Image 7" descr="C:\Users\jvedrenne\Documents\Crain\Logo\CRAIN - Logo 743x257px.png">
          <a:extLst>
            <a:ext uri="{FF2B5EF4-FFF2-40B4-BE49-F238E27FC236}">
              <a16:creationId xmlns:a16="http://schemas.microsoft.com/office/drawing/2014/main" id="{0D62885D-0271-494A-8CE6-516F1ED0B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038" y="37670"/>
          <a:ext cx="4316825" cy="1509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449036</xdr:colOff>
      <xdr:row>0</xdr:row>
      <xdr:rowOff>625928</xdr:rowOff>
    </xdr:from>
    <xdr:to>
      <xdr:col>6</xdr:col>
      <xdr:colOff>2638992</xdr:colOff>
      <xdr:row>0</xdr:row>
      <xdr:rowOff>1401027</xdr:rowOff>
    </xdr:to>
    <xdr:pic>
      <xdr:nvPicPr>
        <xdr:cNvPr id="9" name="Image 8" descr="C:\Users\jvedrenne\Documents\Etudes\P2310-OPERVENT\Formula - Documentation\by-nd.png">
          <a:extLst>
            <a:ext uri="{FF2B5EF4-FFF2-40B4-BE49-F238E27FC236}">
              <a16:creationId xmlns:a16="http://schemas.microsoft.com/office/drawing/2014/main" id="{2BECA498-91D2-4844-91FA-8917EE2D7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857" y="625928"/>
          <a:ext cx="2193131" cy="771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1129553</xdr:colOff>
      <xdr:row>29</xdr:row>
      <xdr:rowOff>125506</xdr:rowOff>
    </xdr:from>
    <xdr:to>
      <xdr:col>13</xdr:col>
      <xdr:colOff>763646</xdr:colOff>
      <xdr:row>64</xdr:row>
      <xdr:rowOff>141956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5EDBEB6-6D98-4B0C-841E-571D59DA3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70894" y="7915835"/>
          <a:ext cx="7783011" cy="6533792"/>
        </a:xfrm>
        <a:prstGeom prst="rect">
          <a:avLst/>
        </a:prstGeom>
      </xdr:spPr>
    </xdr:pic>
    <xdr:clientData/>
  </xdr:twoCellAnchor>
  <xdr:twoCellAnchor editAs="oneCell">
    <xdr:from>
      <xdr:col>14</xdr:col>
      <xdr:colOff>979723</xdr:colOff>
      <xdr:row>11</xdr:row>
      <xdr:rowOff>163295</xdr:rowOff>
    </xdr:from>
    <xdr:to>
      <xdr:col>25</xdr:col>
      <xdr:colOff>369201</xdr:colOff>
      <xdr:row>32</xdr:row>
      <xdr:rowOff>21800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C3FDC17-EFDA-4BB0-96F1-8A0FCC8BC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648473" y="3578688"/>
          <a:ext cx="8016407" cy="5015612"/>
        </a:xfrm>
        <a:prstGeom prst="rect">
          <a:avLst/>
        </a:prstGeom>
      </xdr:spPr>
    </xdr:pic>
    <xdr:clientData/>
  </xdr:twoCellAnchor>
  <xdr:twoCellAnchor editAs="oneCell">
    <xdr:from>
      <xdr:col>14</xdr:col>
      <xdr:colOff>966110</xdr:colOff>
      <xdr:row>32</xdr:row>
      <xdr:rowOff>108865</xdr:rowOff>
    </xdr:from>
    <xdr:to>
      <xdr:col>25</xdr:col>
      <xdr:colOff>348442</xdr:colOff>
      <xdr:row>61</xdr:row>
      <xdr:rowOff>150484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E5EBDFBA-8D27-4B89-8FD2-4A86DCD71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634860" y="8681365"/>
          <a:ext cx="8009261" cy="5715798"/>
        </a:xfrm>
        <a:prstGeom prst="rect">
          <a:avLst/>
        </a:prstGeom>
      </xdr:spPr>
    </xdr:pic>
    <xdr:clientData/>
  </xdr:twoCellAnchor>
  <xdr:twoCellAnchor editAs="oneCell">
    <xdr:from>
      <xdr:col>7</xdr:col>
      <xdr:colOff>585106</xdr:colOff>
      <xdr:row>0</xdr:row>
      <xdr:rowOff>204107</xdr:rowOff>
    </xdr:from>
    <xdr:to>
      <xdr:col>11</xdr:col>
      <xdr:colOff>95249</xdr:colOff>
      <xdr:row>0</xdr:row>
      <xdr:rowOff>1734154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3B181B7-012E-4E40-8352-85A6B3E36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144249" y="204107"/>
          <a:ext cx="2993571" cy="15300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160565</xdr:colOff>
      <xdr:row>0</xdr:row>
      <xdr:rowOff>190501</xdr:rowOff>
    </xdr:from>
    <xdr:to>
      <xdr:col>14</xdr:col>
      <xdr:colOff>755913</xdr:colOff>
      <xdr:row>0</xdr:row>
      <xdr:rowOff>1624151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37672" y="190501"/>
          <a:ext cx="3221527" cy="1433650"/>
        </a:xfrm>
        <a:prstGeom prst="rect">
          <a:avLst/>
        </a:prstGeom>
      </xdr:spPr>
    </xdr:pic>
    <xdr:clientData/>
  </xdr:twoCellAnchor>
  <xdr:twoCellAnchor editAs="oneCell">
    <xdr:from>
      <xdr:col>16</xdr:col>
      <xdr:colOff>228600</xdr:colOff>
      <xdr:row>2</xdr:row>
      <xdr:rowOff>95250</xdr:rowOff>
    </xdr:from>
    <xdr:to>
      <xdr:col>26</xdr:col>
      <xdr:colOff>731000</xdr:colOff>
      <xdr:row>12</xdr:row>
      <xdr:rowOff>57150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88050" y="1733550"/>
          <a:ext cx="8128750" cy="222885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15</xdr:row>
      <xdr:rowOff>163285</xdr:rowOff>
    </xdr:from>
    <xdr:to>
      <xdr:col>27</xdr:col>
      <xdr:colOff>27215</xdr:colOff>
      <xdr:row>36</xdr:row>
      <xdr:rowOff>12646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314964" y="4218214"/>
          <a:ext cx="8409215" cy="4224511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0</xdr:row>
      <xdr:rowOff>71210</xdr:rowOff>
    </xdr:from>
    <xdr:to>
      <xdr:col>2</xdr:col>
      <xdr:colOff>962210</xdr:colOff>
      <xdr:row>0</xdr:row>
      <xdr:rowOff>1571109</xdr:rowOff>
    </xdr:to>
    <xdr:pic>
      <xdr:nvPicPr>
        <xdr:cNvPr id="7" name="Image 6" descr="C:\Users\jvedrenne\Documents\Crain\Logo\CRAIN - Logo 743x257px.png">
          <a:extLst>
            <a:ext uri="{FF2B5EF4-FFF2-40B4-BE49-F238E27FC236}">
              <a16:creationId xmlns:a16="http://schemas.microsoft.com/office/drawing/2014/main" id="{C7C5D115-4C1B-4073-9F2D-C3259EA52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" y="71210"/>
          <a:ext cx="4320000" cy="1503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217714</xdr:colOff>
      <xdr:row>0</xdr:row>
      <xdr:rowOff>571500</xdr:rowOff>
    </xdr:from>
    <xdr:to>
      <xdr:col>6</xdr:col>
      <xdr:colOff>2391795</xdr:colOff>
      <xdr:row>0</xdr:row>
      <xdr:rowOff>1343424</xdr:rowOff>
    </xdr:to>
    <xdr:pic>
      <xdr:nvPicPr>
        <xdr:cNvPr id="9" name="Image 8" descr="C:\Users\jvedrenne\Documents\Etudes\P2310-OPERVENT\Formula - Documentation\by-nd.png">
          <a:extLst>
            <a:ext uri="{FF2B5EF4-FFF2-40B4-BE49-F238E27FC236}">
              <a16:creationId xmlns:a16="http://schemas.microsoft.com/office/drawing/2014/main" id="{01ADA3D5-822D-4F37-A461-D0645DC3C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0643" y="571500"/>
          <a:ext cx="2193131" cy="771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631371</xdr:colOff>
      <xdr:row>26</xdr:row>
      <xdr:rowOff>326571</xdr:rowOff>
    </xdr:from>
    <xdr:to>
      <xdr:col>12</xdr:col>
      <xdr:colOff>31203</xdr:colOff>
      <xdr:row>42</xdr:row>
      <xdr:rowOff>68291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08B275F-CAF1-46BE-AB7C-72AAE560F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39742" y="6847114"/>
          <a:ext cx="6257832" cy="2953006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285752</xdr:colOff>
      <xdr:row>0</xdr:row>
      <xdr:rowOff>176894</xdr:rowOff>
    </xdr:from>
    <xdr:to>
      <xdr:col>10</xdr:col>
      <xdr:colOff>625928</xdr:colOff>
      <xdr:row>0</xdr:row>
      <xdr:rowOff>1741714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2E4EB59-EF28-49F0-A7A0-FE1DC4C6F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79431" y="176894"/>
          <a:ext cx="3061604" cy="15648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687675</xdr:colOff>
      <xdr:row>5</xdr:row>
      <xdr:rowOff>123825</xdr:rowOff>
    </xdr:from>
    <xdr:ext cx="7598362" cy="8958044"/>
    <xdr:pic>
      <xdr:nvPicPr>
        <xdr:cNvPr id="2" name="Image 1">
          <a:extLst>
            <a:ext uri="{FF2B5EF4-FFF2-40B4-BE49-F238E27FC236}">
              <a16:creationId xmlns:a16="http://schemas.microsoft.com/office/drawing/2014/main" id="{ABDAE7CE-D997-410F-8E62-27A76680B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675" y="1025525"/>
          <a:ext cx="7598362" cy="895804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vedrenne/Documents/Etudes/P2310-OPERVENT/ppb/ppb-2024-07-05/OPERVENT%20-%20Wind%20Propulsion%20Power%20Formula%20V2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On deck Systems"/>
      <sheetName val="Dynamic Kite"/>
      <sheetName val="License"/>
    </sheetNames>
    <sheetDataSet>
      <sheetData sheetId="0">
        <row r="7">
          <cell r="D7">
            <v>3</v>
          </cell>
        </row>
        <row r="8">
          <cell r="D8">
            <v>0.7</v>
          </cell>
        </row>
        <row r="9">
          <cell r="D9">
            <v>0</v>
          </cell>
        </row>
        <row r="10">
          <cell r="D10">
            <v>0.8</v>
          </cell>
        </row>
        <row r="11">
          <cell r="D11">
            <v>0.2</v>
          </cell>
        </row>
        <row r="13">
          <cell r="D13">
            <v>300</v>
          </cell>
          <cell r="N13">
            <v>180</v>
          </cell>
        </row>
        <row r="14">
          <cell r="D14">
            <v>40</v>
          </cell>
          <cell r="N14">
            <v>3.1139999999999999</v>
          </cell>
        </row>
        <row r="16">
          <cell r="D16">
            <v>4</v>
          </cell>
        </row>
        <row r="18">
          <cell r="D18">
            <v>12.5</v>
          </cell>
        </row>
        <row r="19">
          <cell r="D19">
            <v>0.7</v>
          </cell>
        </row>
        <row r="21">
          <cell r="D21">
            <v>12</v>
          </cell>
        </row>
        <row r="23">
          <cell r="D23">
            <v>16</v>
          </cell>
        </row>
        <row r="39">
          <cell r="E39">
            <v>15.55</v>
          </cell>
        </row>
        <row r="40">
          <cell r="E40">
            <v>47</v>
          </cell>
        </row>
        <row r="41">
          <cell r="E41">
            <v>8.5071266239999989E-5</v>
          </cell>
        </row>
        <row r="42">
          <cell r="E42">
            <v>13.134022306396322</v>
          </cell>
        </row>
        <row r="43">
          <cell r="E43">
            <v>4.6655645226994079E-2</v>
          </cell>
        </row>
        <row r="44">
          <cell r="E44">
            <v>32</v>
          </cell>
        </row>
        <row r="45">
          <cell r="E45">
            <v>1.0195502068286373</v>
          </cell>
        </row>
        <row r="46">
          <cell r="E46">
            <v>0.74550000000000005</v>
          </cell>
        </row>
        <row r="47">
          <cell r="E47">
            <v>2.3367159200000001E-4</v>
          </cell>
        </row>
        <row r="48">
          <cell r="E48">
            <v>1.9566119007148031E-4</v>
          </cell>
        </row>
        <row r="49">
          <cell r="E49">
            <v>21.382289416846653</v>
          </cell>
        </row>
        <row r="50">
          <cell r="E50">
            <v>35</v>
          </cell>
        </row>
        <row r="51">
          <cell r="E51">
            <v>1</v>
          </cell>
        </row>
      </sheetData>
      <sheetData sheetId="1">
        <row r="7">
          <cell r="D7">
            <v>0.6</v>
          </cell>
        </row>
        <row r="8">
          <cell r="D8">
            <v>0.1</v>
          </cell>
        </row>
        <row r="9">
          <cell r="D9">
            <v>200</v>
          </cell>
        </row>
        <row r="10">
          <cell r="D10">
            <v>200</v>
          </cell>
        </row>
        <row r="11">
          <cell r="D11">
            <v>45</v>
          </cell>
          <cell r="N11">
            <v>180</v>
          </cell>
        </row>
        <row r="12">
          <cell r="N12">
            <v>3.1139999999999999</v>
          </cell>
        </row>
        <row r="13">
          <cell r="D13">
            <v>12.5</v>
          </cell>
        </row>
        <row r="15">
          <cell r="D15">
            <v>0.7</v>
          </cell>
        </row>
        <row r="30">
          <cell r="E30">
            <v>5.9999999999999991</v>
          </cell>
        </row>
        <row r="31">
          <cell r="E31">
            <v>0.04</v>
          </cell>
        </row>
        <row r="32">
          <cell r="E32">
            <v>2.5499999999999998</v>
          </cell>
        </row>
        <row r="33">
          <cell r="E33">
            <v>1</v>
          </cell>
        </row>
        <row r="34">
          <cell r="E34">
            <v>0.99929999999999986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reativecommons.org/licenses/by-nd/4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B1:AA54"/>
  <sheetViews>
    <sheetView tabSelected="1" zoomScale="70" zoomScaleNormal="70" workbookViewId="0">
      <selection activeCell="J5" sqref="J5"/>
    </sheetView>
  </sheetViews>
  <sheetFormatPr baseColWidth="10" defaultRowHeight="15" x14ac:dyDescent="0.25"/>
  <cols>
    <col min="2" max="2" width="47.7109375" customWidth="1"/>
    <col min="3" max="3" width="19.7109375" customWidth="1"/>
    <col min="4" max="4" width="14.85546875" bestFit="1" customWidth="1"/>
    <col min="7" max="7" width="41.5703125" customWidth="1"/>
    <col min="8" max="8" width="14.7109375" customWidth="1"/>
    <col min="9" max="9" width="14.7109375" bestFit="1" customWidth="1"/>
    <col min="13" max="13" width="12.85546875" customWidth="1"/>
    <col min="14" max="15" width="15" customWidth="1"/>
  </cols>
  <sheetData>
    <row r="1" spans="2:27" ht="144" customHeight="1" x14ac:dyDescent="0.3">
      <c r="D1" s="88" t="s">
        <v>112</v>
      </c>
      <c r="E1" s="89"/>
      <c r="F1" s="89"/>
    </row>
    <row r="3" spans="2:27" ht="31.5" x14ac:dyDescent="0.5">
      <c r="B3" s="49" t="s">
        <v>82</v>
      </c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2:27" ht="15.75" thickBot="1" x14ac:dyDescent="0.3"/>
    <row r="5" spans="2:27" x14ac:dyDescent="0.25">
      <c r="B5" s="114" t="s">
        <v>116</v>
      </c>
      <c r="C5" s="118"/>
      <c r="D5" s="118"/>
      <c r="E5" s="119"/>
    </row>
    <row r="6" spans="2:27" ht="15.75" thickBot="1" x14ac:dyDescent="0.3">
      <c r="B6" s="115" t="s">
        <v>117</v>
      </c>
      <c r="C6" s="116">
        <f ca="1">NOW()</f>
        <v>45740.663027314811</v>
      </c>
      <c r="D6" s="116"/>
      <c r="E6" s="117"/>
    </row>
    <row r="8" spans="2:27" ht="15.75" thickBot="1" x14ac:dyDescent="0.3"/>
    <row r="9" spans="2:27" ht="15.75" x14ac:dyDescent="0.25">
      <c r="B9" s="90" t="s">
        <v>48</v>
      </c>
      <c r="C9" s="91"/>
      <c r="D9" s="91"/>
      <c r="E9" s="92"/>
      <c r="G9" s="96" t="s">
        <v>61</v>
      </c>
      <c r="H9" s="97"/>
      <c r="I9" s="97"/>
      <c r="J9" s="97"/>
      <c r="K9" s="97"/>
      <c r="L9" s="98"/>
    </row>
    <row r="10" spans="2:27" ht="15.75" x14ac:dyDescent="0.25">
      <c r="B10" s="7" t="s">
        <v>8</v>
      </c>
      <c r="C10" s="37" t="s">
        <v>4</v>
      </c>
      <c r="D10" s="107">
        <v>2</v>
      </c>
      <c r="E10" s="8"/>
      <c r="G10" s="12" t="s">
        <v>49</v>
      </c>
      <c r="H10" s="19" t="s">
        <v>27</v>
      </c>
      <c r="I10" s="20">
        <f>Nwaps*k_P_ON*Sa*k_Z*Clmax*SIN(RADIANS(AVA-k_VB*(Afi+kAfi)))*VA^2*VB/eta_prop</f>
        <v>360.20565132838715</v>
      </c>
      <c r="J10" s="4" t="s">
        <v>46</v>
      </c>
      <c r="K10" s="3">
        <f>I10/(Nwaps*Sa)</f>
        <v>0.40022850147598571</v>
      </c>
      <c r="L10" s="9" t="s">
        <v>47</v>
      </c>
    </row>
    <row r="11" spans="2:27" ht="15.75" x14ac:dyDescent="0.25">
      <c r="B11" s="7" t="s">
        <v>9</v>
      </c>
      <c r="C11" s="37" t="s">
        <v>41</v>
      </c>
      <c r="D11" s="108">
        <v>0.65</v>
      </c>
      <c r="E11" s="8"/>
      <c r="G11" s="12" t="s">
        <v>50</v>
      </c>
      <c r="H11" s="19" t="s">
        <v>28</v>
      </c>
      <c r="I11" s="20">
        <f>-Nwaps*k_P_OFF*Cd_OFF*Sa*(VB^2.3)/eta_prop</f>
        <v>-20.029652396379323</v>
      </c>
      <c r="J11" s="4" t="s">
        <v>46</v>
      </c>
      <c r="K11" s="3">
        <f>I11/(Nwaps*Sa)</f>
        <v>-2.2255169329310358E-2</v>
      </c>
      <c r="L11" s="9" t="s">
        <v>47</v>
      </c>
    </row>
    <row r="12" spans="2:27" ht="15.75" x14ac:dyDescent="0.25">
      <c r="B12" s="7" t="s">
        <v>69</v>
      </c>
      <c r="C12" s="37" t="s">
        <v>42</v>
      </c>
      <c r="D12" s="108">
        <v>0</v>
      </c>
      <c r="E12" s="8"/>
      <c r="G12" s="12" t="s">
        <v>51</v>
      </c>
      <c r="H12" s="19" t="s">
        <v>29</v>
      </c>
      <c r="I12" s="20">
        <f>-Nwaps*k_P_CO*((Afi/14.1)^(-1.5))*Ca_Clmax*Sa*(VA^3)/eta_Ca</f>
        <v>0</v>
      </c>
      <c r="J12" s="4" t="s">
        <v>46</v>
      </c>
      <c r="K12" s="3">
        <f>I12/(Nwaps*Sa)</f>
        <v>0</v>
      </c>
      <c r="L12" s="9" t="s">
        <v>47</v>
      </c>
    </row>
    <row r="13" spans="2:27" ht="15.75" x14ac:dyDescent="0.25">
      <c r="B13" s="7" t="s">
        <v>10</v>
      </c>
      <c r="C13" s="37" t="s">
        <v>43</v>
      </c>
      <c r="D13" s="108">
        <v>0.75</v>
      </c>
      <c r="E13" s="8"/>
      <c r="G13" s="12" t="s">
        <v>52</v>
      </c>
      <c r="H13" s="19" t="s">
        <v>76</v>
      </c>
      <c r="I13" s="20">
        <f>-0.614*(10^-7)*(Nwaps*k_Z*k_VB_SF*Sa*Clmax*VA_SF^2*COS(RADIANS(AVA_SF+0.7*Afi)))^2/(T^2*VB*eta_prop)</f>
        <v>-7.936248954081341</v>
      </c>
      <c r="J13" s="4" t="s">
        <v>46</v>
      </c>
      <c r="K13" s="87">
        <f>I13/(Nwaps*Sa)</f>
        <v>-8.8180543934237125E-3</v>
      </c>
      <c r="L13" s="9" t="s">
        <v>47</v>
      </c>
    </row>
    <row r="14" spans="2:27" ht="15.75" x14ac:dyDescent="0.25">
      <c r="B14" s="7" t="s">
        <v>11</v>
      </c>
      <c r="C14" s="37" t="s">
        <v>44</v>
      </c>
      <c r="D14" s="108">
        <v>0.2</v>
      </c>
      <c r="E14" s="8"/>
      <c r="G14" s="12"/>
      <c r="H14" s="19"/>
      <c r="I14" s="20"/>
      <c r="J14" s="4"/>
      <c r="K14" s="3"/>
      <c r="L14" s="9"/>
    </row>
    <row r="15" spans="2:27" ht="15.75" x14ac:dyDescent="0.25">
      <c r="B15" s="7"/>
      <c r="C15" s="37"/>
      <c r="D15" s="108"/>
      <c r="E15" s="8"/>
      <c r="G15" s="25" t="s">
        <v>53</v>
      </c>
      <c r="H15" s="26" t="s">
        <v>54</v>
      </c>
      <c r="I15" s="27">
        <f>I10+I11+I12+I13</f>
        <v>332.23974997792646</v>
      </c>
      <c r="J15" s="28" t="s">
        <v>46</v>
      </c>
      <c r="K15" s="29">
        <f>I15/(Nwaps*Sa)</f>
        <v>0.36915527775325163</v>
      </c>
      <c r="L15" s="30" t="s">
        <v>47</v>
      </c>
      <c r="AA15" s="73"/>
    </row>
    <row r="16" spans="2:27" ht="15.75" x14ac:dyDescent="0.25">
      <c r="B16" s="7" t="s">
        <v>12</v>
      </c>
      <c r="C16" s="37" t="s">
        <v>13</v>
      </c>
      <c r="D16" s="109">
        <v>150</v>
      </c>
      <c r="E16" s="8" t="s">
        <v>26</v>
      </c>
      <c r="G16" s="12" t="s">
        <v>58</v>
      </c>
      <c r="H16" s="19"/>
      <c r="I16" s="3">
        <f>24*I15*Fuel_Energy/1000000</f>
        <v>1.4352757199046424</v>
      </c>
      <c r="J16" s="21" t="s">
        <v>59</v>
      </c>
      <c r="K16" s="4"/>
      <c r="L16" s="67"/>
      <c r="M16" s="59" t="s">
        <v>90</v>
      </c>
      <c r="N16" s="113">
        <v>180</v>
      </c>
      <c r="O16" s="21" t="s">
        <v>87</v>
      </c>
      <c r="AA16" s="73"/>
    </row>
    <row r="17" spans="2:26" ht="16.5" thickBot="1" x14ac:dyDescent="0.3">
      <c r="B17" s="7" t="s">
        <v>14</v>
      </c>
      <c r="C17" s="37" t="s">
        <v>14</v>
      </c>
      <c r="D17" s="109">
        <v>30</v>
      </c>
      <c r="E17" s="8" t="s">
        <v>3</v>
      </c>
      <c r="G17" s="22" t="s">
        <v>91</v>
      </c>
      <c r="H17" s="23"/>
      <c r="I17" s="70">
        <f>I16*GHG</f>
        <v>4.4694485917830562</v>
      </c>
      <c r="J17" s="24" t="s">
        <v>59</v>
      </c>
      <c r="K17" s="17"/>
      <c r="L17" s="68"/>
      <c r="M17" s="59" t="s">
        <v>88</v>
      </c>
      <c r="N17" s="113">
        <v>3.1139999999999999</v>
      </c>
      <c r="O17" s="21" t="s">
        <v>89</v>
      </c>
    </row>
    <row r="18" spans="2:26" ht="15.75" x14ac:dyDescent="0.25">
      <c r="B18" s="7"/>
      <c r="C18" s="37"/>
      <c r="D18" s="108"/>
      <c r="E18" s="8"/>
      <c r="Z18" s="73"/>
    </row>
    <row r="19" spans="2:26" ht="15.75" x14ac:dyDescent="0.25">
      <c r="B19" s="7" t="s">
        <v>15</v>
      </c>
      <c r="C19" s="37" t="s">
        <v>45</v>
      </c>
      <c r="D19" s="109">
        <v>6</v>
      </c>
      <c r="E19" s="8"/>
    </row>
    <row r="20" spans="2:26" ht="16.5" thickBot="1" x14ac:dyDescent="0.3">
      <c r="B20" s="7"/>
      <c r="C20" s="37"/>
      <c r="D20" s="108"/>
      <c r="E20" s="8"/>
    </row>
    <row r="21" spans="2:26" ht="15.75" x14ac:dyDescent="0.25">
      <c r="B21" s="7" t="s">
        <v>67</v>
      </c>
      <c r="C21" s="37" t="s">
        <v>16</v>
      </c>
      <c r="D21" s="107">
        <v>12.5</v>
      </c>
      <c r="E21" s="8" t="s">
        <v>17</v>
      </c>
      <c r="H21" s="102" t="s">
        <v>75</v>
      </c>
      <c r="I21" s="103"/>
      <c r="J21" s="103"/>
      <c r="K21" s="103"/>
      <c r="L21" s="103"/>
      <c r="M21" s="103"/>
      <c r="N21" s="104"/>
    </row>
    <row r="22" spans="2:26" ht="75" x14ac:dyDescent="0.25">
      <c r="B22" s="41" t="s">
        <v>57</v>
      </c>
      <c r="C22" s="38" t="s">
        <v>40</v>
      </c>
      <c r="D22" s="110">
        <v>0.7</v>
      </c>
      <c r="E22" s="43"/>
      <c r="H22" s="71"/>
      <c r="I22" s="34" t="s">
        <v>70</v>
      </c>
      <c r="J22" s="34" t="s">
        <v>71</v>
      </c>
      <c r="K22" s="34" t="s">
        <v>77</v>
      </c>
      <c r="L22" s="34" t="s">
        <v>72</v>
      </c>
      <c r="M22" s="34" t="s">
        <v>73</v>
      </c>
      <c r="N22" s="72" t="s">
        <v>74</v>
      </c>
    </row>
    <row r="23" spans="2:26" ht="15.75" x14ac:dyDescent="0.25">
      <c r="B23" s="44"/>
      <c r="C23" s="39"/>
      <c r="D23" s="111"/>
      <c r="E23" s="45"/>
      <c r="H23" s="71" t="s">
        <v>4</v>
      </c>
      <c r="I23" s="2">
        <v>1.4</v>
      </c>
      <c r="J23" s="2">
        <v>1.2</v>
      </c>
      <c r="K23" s="2">
        <v>2</v>
      </c>
      <c r="L23" s="2">
        <v>3</v>
      </c>
      <c r="M23" s="2">
        <v>6.5</v>
      </c>
      <c r="N23" s="47">
        <v>7</v>
      </c>
    </row>
    <row r="24" spans="2:26" ht="15.75" x14ac:dyDescent="0.25">
      <c r="B24" s="7" t="s">
        <v>114</v>
      </c>
      <c r="C24" s="37" t="s">
        <v>115</v>
      </c>
      <c r="D24" s="107">
        <v>15</v>
      </c>
      <c r="E24" s="8" t="s">
        <v>3</v>
      </c>
      <c r="H24" s="71" t="s">
        <v>85</v>
      </c>
      <c r="I24" s="2">
        <v>0.25</v>
      </c>
      <c r="J24" s="2">
        <v>0.25</v>
      </c>
      <c r="K24" s="2">
        <v>0.65</v>
      </c>
      <c r="L24" s="2">
        <v>0.7</v>
      </c>
      <c r="M24" s="2">
        <v>1.5</v>
      </c>
      <c r="N24" s="47">
        <v>2.9</v>
      </c>
    </row>
    <row r="25" spans="2:26" ht="15.75" x14ac:dyDescent="0.25">
      <c r="B25" s="7" t="s">
        <v>20</v>
      </c>
      <c r="C25" s="37" t="s">
        <v>21</v>
      </c>
      <c r="D25" s="109">
        <v>200</v>
      </c>
      <c r="E25" s="8" t="s">
        <v>3</v>
      </c>
      <c r="H25" s="71" t="s">
        <v>7</v>
      </c>
      <c r="I25" s="2">
        <v>0</v>
      </c>
      <c r="J25" s="2">
        <v>0</v>
      </c>
      <c r="K25" s="2">
        <v>0</v>
      </c>
      <c r="L25" s="2">
        <v>0</v>
      </c>
      <c r="M25" s="2">
        <v>0.25</v>
      </c>
      <c r="N25" s="47">
        <v>0.75</v>
      </c>
    </row>
    <row r="26" spans="2:26" ht="15.75" x14ac:dyDescent="0.25">
      <c r="B26" s="7" t="s">
        <v>22</v>
      </c>
      <c r="C26" s="37" t="s">
        <v>23</v>
      </c>
      <c r="D26" s="107">
        <v>16.5</v>
      </c>
      <c r="E26" s="8" t="s">
        <v>3</v>
      </c>
      <c r="H26" s="71" t="s">
        <v>43</v>
      </c>
      <c r="I26" s="2">
        <v>1</v>
      </c>
      <c r="J26" s="2">
        <v>1</v>
      </c>
      <c r="K26" s="2">
        <v>1</v>
      </c>
      <c r="L26" s="2">
        <v>1</v>
      </c>
      <c r="M26" s="2">
        <v>0.6</v>
      </c>
      <c r="N26" s="47">
        <v>0.75</v>
      </c>
    </row>
    <row r="27" spans="2:26" ht="16.5" thickBot="1" x14ac:dyDescent="0.3">
      <c r="B27" s="10" t="s">
        <v>24</v>
      </c>
      <c r="C27" s="40" t="s">
        <v>25</v>
      </c>
      <c r="D27" s="112">
        <v>25</v>
      </c>
      <c r="E27" s="11" t="s">
        <v>3</v>
      </c>
      <c r="H27" s="71" t="s">
        <v>6</v>
      </c>
      <c r="I27" s="2">
        <v>0.1</v>
      </c>
      <c r="J27" s="2">
        <v>0.1</v>
      </c>
      <c r="K27" s="2">
        <v>0.2</v>
      </c>
      <c r="L27" s="2">
        <v>0.3</v>
      </c>
      <c r="M27" s="2">
        <v>0.2</v>
      </c>
      <c r="N27" s="47">
        <v>0.6</v>
      </c>
    </row>
    <row r="28" spans="2:26" ht="27" customHeight="1" thickBot="1" x14ac:dyDescent="0.3">
      <c r="H28" s="99" t="s">
        <v>81</v>
      </c>
      <c r="I28" s="100"/>
      <c r="J28" s="100"/>
      <c r="K28" s="100"/>
      <c r="L28" s="100"/>
      <c r="M28" s="100"/>
      <c r="N28" s="101"/>
    </row>
    <row r="29" spans="2:26" x14ac:dyDescent="0.25">
      <c r="B29" s="96" t="s">
        <v>60</v>
      </c>
      <c r="C29" s="97"/>
      <c r="D29" s="97"/>
      <c r="E29" s="97"/>
      <c r="F29" s="98"/>
      <c r="G29" s="5"/>
    </row>
    <row r="30" spans="2:26" ht="15.75" x14ac:dyDescent="0.25">
      <c r="B30" s="12"/>
      <c r="C30" s="13" t="s">
        <v>63</v>
      </c>
      <c r="D30" s="13" t="s">
        <v>0</v>
      </c>
      <c r="E30" s="13" t="s">
        <v>1</v>
      </c>
      <c r="F30" s="9"/>
      <c r="G30" s="1"/>
    </row>
    <row r="31" spans="2:26" ht="15.75" x14ac:dyDescent="0.25">
      <c r="B31" s="14" t="s">
        <v>67</v>
      </c>
      <c r="C31" s="13" t="s">
        <v>16</v>
      </c>
      <c r="D31" s="31">
        <v>10</v>
      </c>
      <c r="E31" s="31">
        <v>18</v>
      </c>
      <c r="F31" s="15" t="s">
        <v>2</v>
      </c>
      <c r="G31" s="1"/>
      <c r="I31" s="1"/>
      <c r="J31" s="1"/>
      <c r="K31" s="1"/>
      <c r="L31" s="1"/>
      <c r="M31" s="1"/>
      <c r="N31" s="1"/>
    </row>
    <row r="32" spans="2:26" ht="15.75" x14ac:dyDescent="0.25">
      <c r="B32" s="14" t="s">
        <v>68</v>
      </c>
      <c r="C32" s="13" t="s">
        <v>64</v>
      </c>
      <c r="D32" s="31">
        <v>20</v>
      </c>
      <c r="E32" s="31">
        <v>60</v>
      </c>
      <c r="F32" s="15" t="s">
        <v>3</v>
      </c>
      <c r="G32" s="6"/>
    </row>
    <row r="33" spans="2:7" ht="15.75" x14ac:dyDescent="0.25">
      <c r="B33" s="14" t="s">
        <v>4</v>
      </c>
      <c r="C33" s="13" t="s">
        <v>65</v>
      </c>
      <c r="D33" s="31">
        <v>1</v>
      </c>
      <c r="E33" s="31">
        <v>7.5</v>
      </c>
      <c r="F33" s="9"/>
      <c r="G33" s="1"/>
    </row>
    <row r="34" spans="2:7" ht="15.75" x14ac:dyDescent="0.25">
      <c r="B34" s="14" t="s">
        <v>84</v>
      </c>
      <c r="C34" s="13" t="s">
        <v>66</v>
      </c>
      <c r="D34" s="31">
        <v>2</v>
      </c>
      <c r="E34" s="31">
        <v>5</v>
      </c>
      <c r="F34" s="9"/>
      <c r="G34" s="1"/>
    </row>
    <row r="35" spans="2:7" ht="15.75" x14ac:dyDescent="0.25">
      <c r="B35" s="14" t="s">
        <v>5</v>
      </c>
      <c r="C35" s="13" t="s">
        <v>6</v>
      </c>
      <c r="D35" s="31">
        <v>0</v>
      </c>
      <c r="E35" s="31">
        <v>1</v>
      </c>
      <c r="F35" s="9"/>
      <c r="G35" s="1"/>
    </row>
    <row r="36" spans="2:7" ht="20.25" customHeight="1" x14ac:dyDescent="0.25">
      <c r="B36" s="61" t="s">
        <v>69</v>
      </c>
      <c r="C36" s="13" t="s">
        <v>7</v>
      </c>
      <c r="D36" s="31">
        <v>0.3</v>
      </c>
      <c r="E36" s="31">
        <v>0.7</v>
      </c>
      <c r="F36" s="9"/>
      <c r="G36" s="1"/>
    </row>
    <row r="37" spans="2:7" ht="15.75" x14ac:dyDescent="0.25">
      <c r="B37" s="14"/>
      <c r="C37" s="4"/>
      <c r="D37" s="31"/>
      <c r="E37" s="31"/>
      <c r="F37" s="9"/>
      <c r="G37" s="1"/>
    </row>
    <row r="38" spans="2:7" ht="16.5" thickBot="1" x14ac:dyDescent="0.3">
      <c r="B38" s="16"/>
      <c r="C38" s="17"/>
      <c r="D38" s="32"/>
      <c r="E38" s="32"/>
      <c r="F38" s="18"/>
      <c r="G38" s="1"/>
    </row>
    <row r="39" spans="2:7" ht="15.75" thickBot="1" x14ac:dyDescent="0.3"/>
    <row r="40" spans="2:7" x14ac:dyDescent="0.25">
      <c r="D40" s="93" t="s">
        <v>62</v>
      </c>
      <c r="E40" s="94"/>
      <c r="F40" s="95"/>
    </row>
    <row r="41" spans="2:7" x14ac:dyDescent="0.25">
      <c r="D41" s="52" t="s">
        <v>83</v>
      </c>
      <c r="E41" s="53">
        <f>Clmax/Cd_Clmax</f>
        <v>3.0769230769230766</v>
      </c>
      <c r="F41" s="52" t="s">
        <v>86</v>
      </c>
    </row>
    <row r="42" spans="2:7" x14ac:dyDescent="0.25">
      <c r="D42" s="36" t="s">
        <v>31</v>
      </c>
      <c r="E42" s="52">
        <v>15.55</v>
      </c>
      <c r="F42" s="62" t="s">
        <v>33</v>
      </c>
    </row>
    <row r="43" spans="2:7" x14ac:dyDescent="0.25">
      <c r="D43" s="36" t="s">
        <v>32</v>
      </c>
      <c r="E43" s="52">
        <v>47</v>
      </c>
      <c r="F43" s="62" t="s">
        <v>34</v>
      </c>
    </row>
    <row r="44" spans="2:7" x14ac:dyDescent="0.25">
      <c r="D44" s="36" t="s">
        <v>30</v>
      </c>
      <c r="E44" s="54">
        <f>0.5*(0.5144^3)*0.001*1.25</f>
        <v>8.5071266239999989E-5</v>
      </c>
      <c r="F44" s="63"/>
    </row>
    <row r="45" spans="2:7" x14ac:dyDescent="0.25">
      <c r="D45" s="36" t="s">
        <v>35</v>
      </c>
      <c r="E45" s="55">
        <f>DEGREES(ATAN(Cd_Clmax/Clmax))</f>
        <v>18.004161605913382</v>
      </c>
      <c r="F45" s="63" t="s">
        <v>34</v>
      </c>
    </row>
    <row r="46" spans="2:7" x14ac:dyDescent="0.25">
      <c r="D46" s="36" t="s">
        <v>36</v>
      </c>
      <c r="E46" s="55">
        <f>0.05*(Afi-14.1)^2</f>
        <v>0.76212389225440791</v>
      </c>
      <c r="F46" s="63"/>
    </row>
    <row r="47" spans="2:7" x14ac:dyDescent="0.25">
      <c r="D47" s="36" t="s">
        <v>38</v>
      </c>
      <c r="E47" s="52">
        <f>FB+P/2</f>
        <v>30</v>
      </c>
      <c r="F47" s="63" t="s">
        <v>3</v>
      </c>
    </row>
    <row r="48" spans="2:7" x14ac:dyDescent="0.25">
      <c r="D48" s="36" t="s">
        <v>37</v>
      </c>
      <c r="E48" s="55">
        <f>(1+0.007*(VB-12.5))*(z_Cp_aero/30)^(0.3)</f>
        <v>1</v>
      </c>
      <c r="F48" s="63"/>
    </row>
    <row r="49" spans="4:16" x14ac:dyDescent="0.25">
      <c r="D49" s="36" t="s">
        <v>39</v>
      </c>
      <c r="E49" s="55">
        <f>-0.0012*VB^2+0.0634*VB+0.1405</f>
        <v>0.74550000000000005</v>
      </c>
      <c r="F49" s="63"/>
    </row>
    <row r="50" spans="4:16" x14ac:dyDescent="0.25">
      <c r="D50" s="36" t="s">
        <v>56</v>
      </c>
      <c r="E50" s="56">
        <f>0.001078*0.216764</f>
        <v>2.3367159200000001E-4</v>
      </c>
      <c r="F50" s="63"/>
    </row>
    <row r="51" spans="4:16" x14ac:dyDescent="0.25">
      <c r="D51" s="46" t="s">
        <v>55</v>
      </c>
      <c r="E51" s="57">
        <f>0.5*(0.5144^3)*(1.32^3)*0.001*1.25</f>
        <v>1.9566119007148031E-4</v>
      </c>
      <c r="F51" s="64"/>
    </row>
    <row r="52" spans="4:16" x14ac:dyDescent="0.25">
      <c r="D52" s="36" t="s">
        <v>79</v>
      </c>
      <c r="E52" s="58">
        <f>11*3600/1852</f>
        <v>21.382289416846653</v>
      </c>
      <c r="F52" s="65" t="s">
        <v>17</v>
      </c>
    </row>
    <row r="53" spans="4:16" x14ac:dyDescent="0.25">
      <c r="D53" s="36" t="s">
        <v>80</v>
      </c>
      <c r="E53" s="59">
        <v>35</v>
      </c>
      <c r="F53" s="65" t="s">
        <v>34</v>
      </c>
    </row>
    <row r="54" spans="4:16" ht="15" customHeight="1" thickBot="1" x14ac:dyDescent="0.3">
      <c r="D54" s="48" t="s">
        <v>78</v>
      </c>
      <c r="E54" s="60">
        <f>1+0.07*(VB-12.5)</f>
        <v>1</v>
      </c>
      <c r="F54" s="66"/>
      <c r="O54" s="33"/>
      <c r="P54" s="33"/>
    </row>
  </sheetData>
  <sheetProtection password="9365" sheet="1" objects="1" scenarios="1" formatCells="0" formatColumns="0" formatRows="0"/>
  <mergeCells count="9">
    <mergeCell ref="D1:F1"/>
    <mergeCell ref="B9:E9"/>
    <mergeCell ref="D40:F40"/>
    <mergeCell ref="G9:L9"/>
    <mergeCell ref="B29:F29"/>
    <mergeCell ref="H28:N28"/>
    <mergeCell ref="H21:N21"/>
    <mergeCell ref="C5:E5"/>
    <mergeCell ref="C6:E6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1:AA50"/>
  <sheetViews>
    <sheetView zoomScale="70" zoomScaleNormal="70" workbookViewId="0">
      <selection activeCell="C5" sqref="C5:E5"/>
    </sheetView>
  </sheetViews>
  <sheetFormatPr baseColWidth="10" defaultRowHeight="15" x14ac:dyDescent="0.25"/>
  <cols>
    <col min="2" max="2" width="38.42578125" customWidth="1"/>
    <col min="3" max="3" width="15.85546875" customWidth="1"/>
    <col min="4" max="4" width="14.85546875" bestFit="1" customWidth="1"/>
    <col min="7" max="7" width="35.85546875" customWidth="1"/>
    <col min="8" max="8" width="14.7109375" customWidth="1"/>
    <col min="9" max="9" width="14.7109375" bestFit="1" customWidth="1"/>
    <col min="13" max="13" width="12.85546875" customWidth="1"/>
    <col min="14" max="15" width="15" customWidth="1"/>
  </cols>
  <sheetData>
    <row r="1" spans="2:27" ht="144.94999999999999" customHeight="1" x14ac:dyDescent="0.3">
      <c r="D1" s="88" t="s">
        <v>113</v>
      </c>
      <c r="E1" s="89"/>
      <c r="F1" s="89"/>
    </row>
    <row r="3" spans="2:27" ht="31.5" x14ac:dyDescent="0.5">
      <c r="B3" s="49" t="s">
        <v>92</v>
      </c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2:27" ht="15.75" thickBot="1" x14ac:dyDescent="0.3"/>
    <row r="5" spans="2:27" x14ac:dyDescent="0.25">
      <c r="B5" s="114" t="s">
        <v>116</v>
      </c>
      <c r="C5" s="118"/>
      <c r="D5" s="118"/>
      <c r="E5" s="119"/>
    </row>
    <row r="6" spans="2:27" ht="15.75" thickBot="1" x14ac:dyDescent="0.3">
      <c r="B6" s="115" t="s">
        <v>117</v>
      </c>
      <c r="C6" s="116">
        <f ca="1">NOW()</f>
        <v>45740.663027314811</v>
      </c>
      <c r="D6" s="116"/>
      <c r="E6" s="117"/>
    </row>
    <row r="7" spans="2:27" ht="15.75" thickBot="1" x14ac:dyDescent="0.3"/>
    <row r="8" spans="2:27" ht="15.75" x14ac:dyDescent="0.25">
      <c r="B8" s="90" t="s">
        <v>48</v>
      </c>
      <c r="C8" s="91"/>
      <c r="D8" s="91"/>
      <c r="E8" s="92"/>
      <c r="G8" s="96" t="s">
        <v>61</v>
      </c>
      <c r="H8" s="97"/>
      <c r="I8" s="97"/>
      <c r="J8" s="97"/>
      <c r="K8" s="97"/>
      <c r="L8" s="98"/>
    </row>
    <row r="9" spans="2:27" ht="15.75" x14ac:dyDescent="0.25">
      <c r="B9" s="7" t="s">
        <v>93</v>
      </c>
      <c r="C9" s="37" t="s">
        <v>94</v>
      </c>
      <c r="D9" s="51">
        <v>0.6</v>
      </c>
      <c r="E9" s="8"/>
      <c r="G9" s="12" t="s">
        <v>108</v>
      </c>
      <c r="H9" s="19" t="s">
        <v>27</v>
      </c>
      <c r="I9" s="20">
        <f>0.02416*Sa_k*Cl_k*kL_D_k*L_D_k*L_D_k*kPsi_k*COS(RADIANS(Psi_k))^2.7*kZ_k*kVB_k*Vb_k/eta_prop_k</f>
        <v>74.524353083872583</v>
      </c>
      <c r="J9" s="4" t="s">
        <v>46</v>
      </c>
      <c r="K9" s="87">
        <f>I9/(Sa_k)</f>
        <v>0.37262176541936293</v>
      </c>
      <c r="L9" s="9" t="s">
        <v>47</v>
      </c>
    </row>
    <row r="10" spans="2:27" ht="15.75" x14ac:dyDescent="0.25">
      <c r="B10" s="7" t="s">
        <v>95</v>
      </c>
      <c r="C10" s="37" t="s">
        <v>106</v>
      </c>
      <c r="D10" s="35">
        <v>0.1</v>
      </c>
      <c r="E10" s="8"/>
      <c r="G10" s="12"/>
      <c r="H10" s="19"/>
      <c r="I10" s="20"/>
      <c r="J10" s="4"/>
      <c r="K10" s="3"/>
      <c r="L10" s="9"/>
    </row>
    <row r="11" spans="2:27" ht="15.75" x14ac:dyDescent="0.25">
      <c r="B11" s="7" t="s">
        <v>12</v>
      </c>
      <c r="C11" s="37" t="s">
        <v>13</v>
      </c>
      <c r="D11" s="50">
        <v>200</v>
      </c>
      <c r="E11" s="8" t="s">
        <v>26</v>
      </c>
      <c r="G11" s="12"/>
      <c r="H11" s="19"/>
      <c r="I11" s="20"/>
      <c r="J11" s="4"/>
      <c r="K11" s="3"/>
      <c r="L11" s="9"/>
    </row>
    <row r="12" spans="2:27" ht="15.75" x14ac:dyDescent="0.25">
      <c r="B12" s="7" t="s">
        <v>96</v>
      </c>
      <c r="C12" s="37" t="s">
        <v>97</v>
      </c>
      <c r="D12" s="50">
        <v>200</v>
      </c>
      <c r="E12" s="8" t="s">
        <v>3</v>
      </c>
      <c r="G12" s="25" t="s">
        <v>53</v>
      </c>
      <c r="H12" s="26" t="s">
        <v>54</v>
      </c>
      <c r="I12" s="27">
        <f>I9+I10</f>
        <v>74.524353083872583</v>
      </c>
      <c r="J12" s="28" t="s">
        <v>46</v>
      </c>
      <c r="K12" s="3">
        <f>I12/(Sa_k)</f>
        <v>0.37262176541936293</v>
      </c>
      <c r="L12" s="30" t="s">
        <v>47</v>
      </c>
    </row>
    <row r="13" spans="2:27" ht="15.75" x14ac:dyDescent="0.25">
      <c r="B13" s="7" t="s">
        <v>98</v>
      </c>
      <c r="C13" s="37" t="s">
        <v>102</v>
      </c>
      <c r="D13" s="50">
        <v>45</v>
      </c>
      <c r="E13" s="8" t="s">
        <v>107</v>
      </c>
      <c r="G13" s="12" t="s">
        <v>58</v>
      </c>
      <c r="H13" s="19"/>
      <c r="I13" s="3">
        <f>24*I12*Fuel_Energie_k/1000000</f>
        <v>0.32194520532232956</v>
      </c>
      <c r="J13" s="21" t="s">
        <v>59</v>
      </c>
      <c r="K13" s="4"/>
      <c r="L13" s="67"/>
      <c r="M13" s="59" t="s">
        <v>90</v>
      </c>
      <c r="N13" s="69">
        <v>180</v>
      </c>
      <c r="O13" s="21" t="s">
        <v>87</v>
      </c>
    </row>
    <row r="14" spans="2:27" ht="16.5" thickBot="1" x14ac:dyDescent="0.3">
      <c r="B14" s="7"/>
      <c r="C14" s="37"/>
      <c r="D14" s="35"/>
      <c r="E14" s="8"/>
      <c r="G14" s="22" t="s">
        <v>91</v>
      </c>
      <c r="H14" s="23"/>
      <c r="I14" s="70">
        <f>I13*GHG_k</f>
        <v>1.0025373693737343</v>
      </c>
      <c r="J14" s="24" t="s">
        <v>59</v>
      </c>
      <c r="K14" s="17"/>
      <c r="L14" s="68"/>
      <c r="M14" s="59" t="s">
        <v>88</v>
      </c>
      <c r="N14" s="69">
        <v>3.1139999999999999</v>
      </c>
      <c r="O14" s="21" t="s">
        <v>89</v>
      </c>
      <c r="AA14" s="73"/>
    </row>
    <row r="15" spans="2:27" ht="15.75" x14ac:dyDescent="0.25">
      <c r="B15" s="7" t="s">
        <v>67</v>
      </c>
      <c r="C15" s="37" t="s">
        <v>16</v>
      </c>
      <c r="D15" s="51">
        <v>12.5</v>
      </c>
      <c r="E15" s="8" t="s">
        <v>17</v>
      </c>
      <c r="AA15" s="73"/>
    </row>
    <row r="16" spans="2:27" ht="15.75" x14ac:dyDescent="0.25">
      <c r="E16" s="43"/>
    </row>
    <row r="17" spans="2:14" ht="15.75" x14ac:dyDescent="0.25">
      <c r="B17" s="41" t="s">
        <v>57</v>
      </c>
      <c r="C17" s="38" t="s">
        <v>40</v>
      </c>
      <c r="D17" s="42">
        <v>0.7</v>
      </c>
      <c r="E17" s="45"/>
    </row>
    <row r="18" spans="2:14" ht="15.75" x14ac:dyDescent="0.25">
      <c r="B18" s="7" t="s">
        <v>18</v>
      </c>
      <c r="C18" s="37" t="s">
        <v>19</v>
      </c>
      <c r="D18" s="50">
        <v>12</v>
      </c>
      <c r="E18" s="8" t="s">
        <v>3</v>
      </c>
    </row>
    <row r="19" spans="2:14" ht="15.75" x14ac:dyDescent="0.25">
      <c r="B19" s="7" t="s">
        <v>20</v>
      </c>
      <c r="C19" s="37" t="s">
        <v>21</v>
      </c>
      <c r="D19" s="50">
        <v>200</v>
      </c>
      <c r="E19" s="8" t="s">
        <v>3</v>
      </c>
    </row>
    <row r="20" spans="2:14" ht="15.75" x14ac:dyDescent="0.25">
      <c r="B20" s="7" t="s">
        <v>22</v>
      </c>
      <c r="C20" s="37" t="s">
        <v>23</v>
      </c>
      <c r="D20" s="50">
        <v>16</v>
      </c>
      <c r="E20" s="8" t="s">
        <v>3</v>
      </c>
      <c r="H20" s="105" t="s">
        <v>109</v>
      </c>
      <c r="I20" s="105"/>
      <c r="J20" s="105"/>
      <c r="K20" s="82"/>
      <c r="L20" s="82"/>
      <c r="M20" s="82"/>
      <c r="N20" s="82"/>
    </row>
    <row r="21" spans="2:14" ht="15.75" thickBot="1" x14ac:dyDescent="0.3">
      <c r="H21" s="2"/>
      <c r="I21" s="34"/>
      <c r="J21" s="34"/>
      <c r="K21" s="83"/>
      <c r="L21" s="83"/>
      <c r="M21" s="83"/>
      <c r="N21" s="83"/>
    </row>
    <row r="22" spans="2:14" x14ac:dyDescent="0.25">
      <c r="B22" s="96" t="s">
        <v>60</v>
      </c>
      <c r="C22" s="97"/>
      <c r="D22" s="97"/>
      <c r="E22" s="97"/>
      <c r="F22" s="98"/>
      <c r="H22" s="2" t="s">
        <v>94</v>
      </c>
      <c r="I22" s="59">
        <v>0.6</v>
      </c>
      <c r="J22" s="2"/>
      <c r="K22" s="1"/>
      <c r="L22" s="1"/>
      <c r="M22" s="1"/>
      <c r="N22" s="1"/>
    </row>
    <row r="23" spans="2:14" ht="15.75" x14ac:dyDescent="0.25">
      <c r="B23" s="12"/>
      <c r="C23" s="13" t="s">
        <v>63</v>
      </c>
      <c r="D23" s="74" t="s">
        <v>0</v>
      </c>
      <c r="E23" s="74" t="s">
        <v>1</v>
      </c>
      <c r="F23" s="85"/>
      <c r="H23" s="2" t="s">
        <v>106</v>
      </c>
      <c r="I23" s="59">
        <v>0.12</v>
      </c>
      <c r="J23" s="2"/>
      <c r="K23" s="1"/>
      <c r="L23" s="1"/>
      <c r="M23" s="1"/>
      <c r="N23" s="1"/>
    </row>
    <row r="24" spans="2:14" ht="15.75" x14ac:dyDescent="0.25">
      <c r="B24" s="14" t="s">
        <v>67</v>
      </c>
      <c r="C24" s="74" t="s">
        <v>16</v>
      </c>
      <c r="D24" s="31">
        <v>10</v>
      </c>
      <c r="E24" s="31">
        <v>18</v>
      </c>
      <c r="F24" s="86" t="s">
        <v>2</v>
      </c>
      <c r="H24" s="2" t="s">
        <v>12</v>
      </c>
      <c r="I24" s="59">
        <v>200</v>
      </c>
      <c r="J24" s="2" t="s">
        <v>26</v>
      </c>
      <c r="K24" s="1"/>
      <c r="L24" s="1"/>
      <c r="M24" s="1"/>
      <c r="N24" s="1"/>
    </row>
    <row r="25" spans="2:14" ht="15.75" x14ac:dyDescent="0.25">
      <c r="B25" s="14"/>
      <c r="C25" s="74"/>
      <c r="D25" s="31"/>
      <c r="E25" s="31"/>
      <c r="F25" s="86"/>
      <c r="H25" s="2" t="s">
        <v>96</v>
      </c>
      <c r="I25" s="59">
        <v>200</v>
      </c>
      <c r="J25" s="2" t="s">
        <v>26</v>
      </c>
      <c r="K25" s="1"/>
      <c r="L25" s="1"/>
      <c r="M25" s="1"/>
      <c r="N25" s="1"/>
    </row>
    <row r="26" spans="2:14" ht="15.75" x14ac:dyDescent="0.25">
      <c r="B26" s="14" t="s">
        <v>99</v>
      </c>
      <c r="C26" s="74" t="s">
        <v>100</v>
      </c>
      <c r="D26" s="31">
        <v>0.4</v>
      </c>
      <c r="E26" s="31">
        <v>0.8</v>
      </c>
      <c r="F26" s="85"/>
      <c r="H26" s="2" t="s">
        <v>98</v>
      </c>
      <c r="I26" s="59">
        <v>45</v>
      </c>
      <c r="J26" s="2" t="s">
        <v>107</v>
      </c>
      <c r="K26" s="1"/>
      <c r="L26" s="1"/>
      <c r="M26" s="1"/>
      <c r="N26" s="1"/>
    </row>
    <row r="27" spans="2:14" ht="27" customHeight="1" x14ac:dyDescent="0.25">
      <c r="B27" s="14" t="s">
        <v>110</v>
      </c>
      <c r="C27" s="74" t="s">
        <v>101</v>
      </c>
      <c r="D27" s="31">
        <v>3</v>
      </c>
      <c r="E27" s="31">
        <v>7</v>
      </c>
      <c r="F27" s="85"/>
      <c r="H27" s="84"/>
      <c r="I27" s="84"/>
      <c r="J27" s="84"/>
      <c r="K27" s="84"/>
      <c r="L27" s="84"/>
      <c r="M27" s="84"/>
      <c r="N27" s="84"/>
    </row>
    <row r="28" spans="2:14" ht="15.75" x14ac:dyDescent="0.25">
      <c r="B28" s="14" t="s">
        <v>98</v>
      </c>
      <c r="C28" s="74" t="s">
        <v>102</v>
      </c>
      <c r="D28" s="31">
        <v>35</v>
      </c>
      <c r="E28" s="31">
        <v>60</v>
      </c>
      <c r="F28" s="85" t="s">
        <v>34</v>
      </c>
      <c r="G28" s="5"/>
    </row>
    <row r="29" spans="2:14" x14ac:dyDescent="0.25">
      <c r="G29" s="1"/>
    </row>
    <row r="30" spans="2:14" ht="15.75" thickBot="1" x14ac:dyDescent="0.3">
      <c r="G30" s="1"/>
    </row>
    <row r="31" spans="2:14" x14ac:dyDescent="0.25">
      <c r="D31" s="93" t="s">
        <v>62</v>
      </c>
      <c r="E31" s="94"/>
      <c r="F31" s="95"/>
      <c r="G31" s="1"/>
    </row>
    <row r="32" spans="2:14" ht="20.25" customHeight="1" x14ac:dyDescent="0.25">
      <c r="D32" s="52" t="s">
        <v>83</v>
      </c>
      <c r="E32" s="53">
        <f>Cl_k/Cd_k</f>
        <v>5.9999999999999991</v>
      </c>
      <c r="F32" s="52" t="s">
        <v>104</v>
      </c>
      <c r="G32" s="1"/>
    </row>
    <row r="33" spans="4:7" x14ac:dyDescent="0.25">
      <c r="D33" s="36" t="s">
        <v>103</v>
      </c>
      <c r="E33" s="52">
        <v>0.04</v>
      </c>
      <c r="F33" s="62"/>
      <c r="G33" s="1"/>
    </row>
    <row r="34" spans="4:7" x14ac:dyDescent="0.25">
      <c r="D34" s="36" t="s">
        <v>105</v>
      </c>
      <c r="E34" s="52">
        <v>2.5499999999999998</v>
      </c>
      <c r="F34" s="62"/>
      <c r="G34" s="1"/>
    </row>
    <row r="35" spans="4:7" x14ac:dyDescent="0.25">
      <c r="D35" s="36" t="s">
        <v>37</v>
      </c>
      <c r="E35" s="55">
        <f>(Lline_k/200)^0.145</f>
        <v>1</v>
      </c>
      <c r="F35" s="63"/>
    </row>
    <row r="36" spans="4:7" x14ac:dyDescent="0.25">
      <c r="D36" s="36" t="s">
        <v>39</v>
      </c>
      <c r="E36" s="55">
        <f>0.0044*Vb_k*Vb_k-0.2116*Vb_k+2.9568</f>
        <v>0.99929999999999986</v>
      </c>
      <c r="F36" s="63"/>
    </row>
    <row r="37" spans="4:7" x14ac:dyDescent="0.25">
      <c r="D37" s="36"/>
      <c r="E37" s="55"/>
      <c r="F37" s="63"/>
    </row>
    <row r="38" spans="4:7" x14ac:dyDescent="0.25">
      <c r="D38" s="36"/>
      <c r="E38" s="52"/>
      <c r="F38" s="52"/>
    </row>
    <row r="39" spans="4:7" x14ac:dyDescent="0.25">
      <c r="F39" s="77"/>
    </row>
    <row r="45" spans="4:7" x14ac:dyDescent="0.25">
      <c r="D45" s="75"/>
      <c r="E45" s="76"/>
      <c r="F45" s="77"/>
    </row>
    <row r="46" spans="4:7" x14ac:dyDescent="0.25">
      <c r="D46" s="75"/>
      <c r="E46" s="78"/>
      <c r="F46" s="77"/>
    </row>
    <row r="47" spans="4:7" x14ac:dyDescent="0.25">
      <c r="D47" s="79"/>
      <c r="E47" s="78"/>
      <c r="F47" s="77"/>
    </row>
    <row r="48" spans="4:7" x14ac:dyDescent="0.25">
      <c r="D48" s="75"/>
      <c r="E48" s="80"/>
      <c r="F48" s="81"/>
    </row>
    <row r="49" spans="4:16" x14ac:dyDescent="0.25">
      <c r="D49" s="75"/>
      <c r="E49" s="81"/>
      <c r="F49" s="81"/>
    </row>
    <row r="50" spans="4:16" ht="15" customHeight="1" x14ac:dyDescent="0.25">
      <c r="D50" s="75"/>
      <c r="E50" s="81"/>
      <c r="F50" s="81"/>
      <c r="O50" s="33"/>
      <c r="P50" s="33"/>
    </row>
  </sheetData>
  <sheetProtection password="9365" sheet="1" objects="1" scenarios="1" formatCells="0" formatColumns="0" formatRows="0"/>
  <mergeCells count="8">
    <mergeCell ref="B22:F22"/>
    <mergeCell ref="D31:F31"/>
    <mergeCell ref="H20:J20"/>
    <mergeCell ref="D1:F1"/>
    <mergeCell ref="B8:E8"/>
    <mergeCell ref="G8:L8"/>
    <mergeCell ref="C5:E5"/>
    <mergeCell ref="C6:E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CD641-868A-4800-964F-DC27A7CEB1B4}">
  <dimension ref="A4:Q4"/>
  <sheetViews>
    <sheetView workbookViewId="0">
      <selection activeCell="Q33" sqref="Q33"/>
    </sheetView>
  </sheetViews>
  <sheetFormatPr baseColWidth="10" defaultRowHeight="15" x14ac:dyDescent="0.25"/>
  <sheetData>
    <row r="4" spans="1:17" x14ac:dyDescent="0.25">
      <c r="A4" s="106" t="s">
        <v>111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</row>
  </sheetData>
  <sheetProtection password="9365" sheet="1" objects="1" scenarios="1"/>
  <mergeCells count="1">
    <mergeCell ref="A4:Q4"/>
  </mergeCells>
  <hyperlinks>
    <hyperlink ref="A4" r:id="rId1" xr:uid="{52EBC807-09DC-4ADC-903F-8FE847DB025F}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46</vt:i4>
      </vt:variant>
    </vt:vector>
  </HeadingPairs>
  <TitlesOfParts>
    <vt:vector size="49" baseType="lpstr">
      <vt:lpstr> On deck Systems</vt:lpstr>
      <vt:lpstr>Dynamic Kite</vt:lpstr>
      <vt:lpstr>License</vt:lpstr>
      <vt:lpstr>Afi</vt:lpstr>
      <vt:lpstr>AVA</vt:lpstr>
      <vt:lpstr>AVA_SF</vt:lpstr>
      <vt:lpstr>B</vt:lpstr>
      <vt:lpstr>Ca_Clmax</vt:lpstr>
      <vt:lpstr>Cd_Clmax</vt:lpstr>
      <vt:lpstr>Cd_k</vt:lpstr>
      <vt:lpstr>Cd_OFF</vt:lpstr>
      <vt:lpstr>Cl_k</vt:lpstr>
      <vt:lpstr>Clmax</vt:lpstr>
      <vt:lpstr>eta_Ca</vt:lpstr>
      <vt:lpstr>eta_prop</vt:lpstr>
      <vt:lpstr>eta_prop_k</vt:lpstr>
      <vt:lpstr>FB</vt:lpstr>
      <vt:lpstr>FB_k</vt:lpstr>
      <vt:lpstr>Fuel_Energie_k</vt:lpstr>
      <vt:lpstr>Fuel_Energy</vt:lpstr>
      <vt:lpstr>GHG</vt:lpstr>
      <vt:lpstr>GHG_k</vt:lpstr>
      <vt:lpstr>k_P_CO</vt:lpstr>
      <vt:lpstr>k_P_OFF</vt:lpstr>
      <vt:lpstr>k_P_ON</vt:lpstr>
      <vt:lpstr>k_VB</vt:lpstr>
      <vt:lpstr>k_VB_SF</vt:lpstr>
      <vt:lpstr>k_Z</vt:lpstr>
      <vt:lpstr>kAfi</vt:lpstr>
      <vt:lpstr>kL_D_k</vt:lpstr>
      <vt:lpstr>kPsi_k</vt:lpstr>
      <vt:lpstr>kVB_k</vt:lpstr>
      <vt:lpstr>kZ_k</vt:lpstr>
      <vt:lpstr>L_D_k</vt:lpstr>
      <vt:lpstr>Lline_k</vt:lpstr>
      <vt:lpstr>Nwaps</vt:lpstr>
      <vt:lpstr>P</vt:lpstr>
      <vt:lpstr>Psi_k</vt:lpstr>
      <vt:lpstr>Sa</vt:lpstr>
      <vt:lpstr>Sa_k</vt:lpstr>
      <vt:lpstr>T</vt:lpstr>
      <vt:lpstr>T_k</vt:lpstr>
      <vt:lpstr>VA</vt:lpstr>
      <vt:lpstr>VA_SF</vt:lpstr>
      <vt:lpstr>VB</vt:lpstr>
      <vt:lpstr>Vb_k</vt:lpstr>
      <vt:lpstr>WL</vt:lpstr>
      <vt:lpstr>WL_k</vt:lpstr>
      <vt:lpstr>z_Cp_aero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ppb2</dc:creator>
  <cp:lastModifiedBy>Jérôme Vedrenne</cp:lastModifiedBy>
  <dcterms:created xsi:type="dcterms:W3CDTF">2024-04-03T07:40:21Z</dcterms:created>
  <dcterms:modified xsi:type="dcterms:W3CDTF">2025-03-24T16:33:27Z</dcterms:modified>
</cp:coreProperties>
</file>